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inance\Eksterne regnskaber\Til roblon.com\"/>
    </mc:Choice>
  </mc:AlternateContent>
  <xr:revisionPtr revIDLastSave="0" documentId="13_ncr:1_{FABF3189-93A4-4884-8769-008919D3B569}" xr6:coauthVersionLast="47" xr6:coauthVersionMax="47" xr10:uidLastSave="{00000000-0000-0000-0000-000000000000}"/>
  <bookViews>
    <workbookView xWindow="28680" yWindow="-120" windowWidth="29040" windowHeight="15720" xr2:uid="{D19DD499-5BAC-412A-9965-A09F0CB22532}"/>
  </bookViews>
  <sheets>
    <sheet name="New Highlights and ratios" sheetId="2" r:id="rId1"/>
  </sheets>
  <externalReferences>
    <externalReference r:id="rId2"/>
  </externalReferences>
  <definedNames>
    <definedName name="_xlnm.Print_Area" localSheetId="0">'New Highlights and ratios'!$A$1:$AF$45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2" l="1"/>
  <c r="D37" i="2"/>
  <c r="E36" i="2"/>
  <c r="D36" i="2"/>
  <c r="E35" i="2"/>
  <c r="D35" i="2"/>
  <c r="E34" i="2"/>
  <c r="D34" i="2"/>
  <c r="E32" i="2"/>
  <c r="D32" i="2"/>
  <c r="E31" i="2"/>
  <c r="D31" i="2"/>
  <c r="AN28" i="2"/>
  <c r="AM28" i="2"/>
  <c r="AL28" i="2"/>
  <c r="E28" i="2"/>
  <c r="E57" i="2" s="1"/>
  <c r="E59" i="2" s="1"/>
  <c r="D28" i="2"/>
  <c r="D57" i="2" s="1"/>
  <c r="D59" i="2" s="1"/>
  <c r="E27" i="2"/>
  <c r="D27" i="2"/>
  <c r="H59" i="2"/>
  <c r="E26" i="2"/>
  <c r="D26" i="2"/>
  <c r="E25" i="2"/>
  <c r="D25" i="2"/>
  <c r="G57" i="2"/>
  <c r="G59" i="2" s="1"/>
  <c r="E24" i="2"/>
  <c r="D24" i="2"/>
  <c r="E56" i="2"/>
  <c r="D56" i="2"/>
  <c r="E23" i="2"/>
  <c r="D23" i="2"/>
  <c r="H55" i="2"/>
  <c r="E20" i="2"/>
  <c r="E46" i="2" s="1"/>
  <c r="D20" i="2"/>
  <c r="D54" i="2" s="1"/>
  <c r="D55" i="2" s="1"/>
  <c r="E19" i="2"/>
  <c r="D19" i="2"/>
  <c r="H18" i="2"/>
  <c r="H20" i="2" s="1"/>
  <c r="AL27" i="2" s="1"/>
  <c r="G18" i="2"/>
  <c r="G20" i="2" s="1"/>
  <c r="F18" i="2"/>
  <c r="F20" i="2" s="1"/>
  <c r="F46" i="2" s="1"/>
  <c r="E18" i="2"/>
  <c r="D18" i="2"/>
  <c r="H51" i="2"/>
  <c r="G51" i="2"/>
  <c r="H17" i="2"/>
  <c r="G17" i="2"/>
  <c r="F17" i="2"/>
  <c r="E17" i="2"/>
  <c r="D17" i="2"/>
  <c r="E50" i="2"/>
  <c r="D50" i="2"/>
  <c r="E16" i="2"/>
  <c r="D16" i="2"/>
  <c r="H15" i="2"/>
  <c r="G15" i="2"/>
  <c r="E14" i="2"/>
  <c r="D14" i="2"/>
  <c r="E13" i="2"/>
  <c r="D13" i="2"/>
  <c r="E12" i="2"/>
  <c r="D12" i="2"/>
  <c r="G45" i="2"/>
  <c r="F45" i="2"/>
  <c r="E11" i="2"/>
  <c r="D11" i="2"/>
  <c r="D51" i="2" s="1"/>
  <c r="G44" i="2"/>
  <c r="F44" i="2"/>
  <c r="H10" i="2"/>
  <c r="G10" i="2"/>
  <c r="G42" i="2" s="1"/>
  <c r="F10" i="2"/>
  <c r="F42" i="2" s="1"/>
  <c r="E10" i="2"/>
  <c r="D10" i="2"/>
  <c r="D40" i="2" s="1"/>
  <c r="E7" i="2"/>
  <c r="E6" i="2"/>
  <c r="D47" i="2" l="1"/>
  <c r="E47" i="2"/>
  <c r="E42" i="2"/>
  <c r="D45" i="2"/>
  <c r="G47" i="2"/>
  <c r="E41" i="2"/>
  <c r="F41" i="2"/>
  <c r="G41" i="2"/>
  <c r="F43" i="2"/>
  <c r="G43" i="2"/>
  <c r="E54" i="2"/>
  <c r="E55" i="2" s="1"/>
  <c r="D42" i="2"/>
  <c r="D41" i="2"/>
  <c r="D43" i="2"/>
  <c r="E15" i="2"/>
  <c r="G40" i="2"/>
  <c r="F47" i="2"/>
  <c r="D46" i="2"/>
  <c r="AK27" i="2"/>
  <c r="G54" i="2"/>
  <c r="G55" i="2" s="1"/>
  <c r="G46" i="2"/>
  <c r="E51" i="2"/>
  <c r="D44" i="2"/>
  <c r="D15" i="2"/>
  <c r="E40" i="2"/>
  <c r="F40" i="2"/>
  <c r="E43" i="2"/>
  <c r="E45" i="2"/>
  <c r="E44" i="2"/>
</calcChain>
</file>

<file path=xl/sharedStrings.xml><?xml version="1.0" encoding="utf-8"?>
<sst xmlns="http://schemas.openxmlformats.org/spreadsheetml/2006/main" count="120" uniqueCount="71">
  <si>
    <t>%</t>
  </si>
  <si>
    <t>Unit</t>
  </si>
  <si>
    <t>DKKm</t>
  </si>
  <si>
    <t>No.</t>
  </si>
  <si>
    <t>Orders</t>
  </si>
  <si>
    <t>Order intake</t>
  </si>
  <si>
    <t>Orderbook</t>
  </si>
  <si>
    <t>Income statement</t>
  </si>
  <si>
    <t>Total profit/loss for the year</t>
  </si>
  <si>
    <t>Balance sheet</t>
  </si>
  <si>
    <t>Assets</t>
  </si>
  <si>
    <t>Working capital</t>
  </si>
  <si>
    <t>Share capital</t>
  </si>
  <si>
    <t>Invested capital</t>
  </si>
  <si>
    <t>Equity</t>
  </si>
  <si>
    <t>Cash flows</t>
  </si>
  <si>
    <t>Of which investment in marketable securities</t>
  </si>
  <si>
    <t>Cash flow from financing activities</t>
  </si>
  <si>
    <t>Cash flow for the year</t>
  </si>
  <si>
    <t>Gross margin</t>
  </si>
  <si>
    <t>EBIT margin</t>
  </si>
  <si>
    <t>ROIC/return on average invested capital</t>
  </si>
  <si>
    <t>Equity ratio</t>
  </si>
  <si>
    <t>Return on equity</t>
  </si>
  <si>
    <t>Average no. of full-time employees</t>
  </si>
  <si>
    <t>Gross profit per full-time employee</t>
  </si>
  <si>
    <t>Per share ratios</t>
  </si>
  <si>
    <t>Earnings per DKK 20 share (EPS)</t>
  </si>
  <si>
    <t>Price/earnings ratio (PE)</t>
  </si>
  <si>
    <t>Cash flow per DKK 20 share from operations</t>
  </si>
  <si>
    <t>Book value of shares</t>
  </si>
  <si>
    <t>Quoted year-end market price</t>
  </si>
  <si>
    <t>Price/book value</t>
  </si>
  <si>
    <t>Financial highlights and ratios - Roblon Group</t>
  </si>
  <si>
    <t>-</t>
  </si>
  <si>
    <t>2019/20</t>
  </si>
  <si>
    <t>Depreciation, amortisation and impairment, total</t>
  </si>
  <si>
    <t>2020/21</t>
  </si>
  <si>
    <t>2021/22</t>
  </si>
  <si>
    <t>2022/23</t>
  </si>
  <si>
    <t>2023/24</t>
  </si>
  <si>
    <t>Enhed</t>
  </si>
  <si>
    <t>2021/22*</t>
  </si>
  <si>
    <t>2020/21*</t>
  </si>
  <si>
    <t>2019/20*</t>
  </si>
  <si>
    <t>Book-to-bill ratio</t>
  </si>
  <si>
    <t>DKK</t>
  </si>
  <si>
    <t>Pris pr. overskudskrone (PE)</t>
  </si>
  <si>
    <t>Fejl i årsrapporten 21/22</t>
  </si>
  <si>
    <t>Resultat pr. DKK 20 aktie (EPS) (fort+ophørende)</t>
  </si>
  <si>
    <t>*Der er ikke foretaget tilpasning af hoved- og nøgletal for årene 2019/20-2021/22 for ophørende aktivitet.</t>
  </si>
  <si>
    <t>Revenue</t>
  </si>
  <si>
    <t>Gross profit</t>
  </si>
  <si>
    <t>Operating profit/loss (EBIT) after special items</t>
  </si>
  <si>
    <t>Profit/loss for the year from continuing operations</t>
  </si>
  <si>
    <t>Profit/loss for the year from discontinuing operations</t>
  </si>
  <si>
    <t>Of which investment in property, plant and equipment</t>
  </si>
  <si>
    <t>Working capital, % of revenue</t>
  </si>
  <si>
    <t>Net special items</t>
  </si>
  <si>
    <t>Operating profit/loss (EBIT) before special items</t>
  </si>
  <si>
    <t>Operating profit before depreciation, amortisation and impairment (EBITDA) and before special items</t>
  </si>
  <si>
    <t>Profit/loss for the year from continuing operations before tax</t>
  </si>
  <si>
    <t>Net financial income</t>
  </si>
  <si>
    <t>Cash and cash equivalents</t>
  </si>
  <si>
    <t>Cash flow from operating activities</t>
  </si>
  <si>
    <t>Cash flow from investing activities</t>
  </si>
  <si>
    <t>Ratios</t>
  </si>
  <si>
    <t>Revenue growth</t>
  </si>
  <si>
    <t>Employees</t>
  </si>
  <si>
    <t>The ratios are defined in note 33 to the 2023/24 annual report, Financial ratio definitions and formulas.</t>
  </si>
  <si>
    <t>The staded per share ratios relate to B shares.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</si>
</sst>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"/>
    <numFmt numFmtId="165" formatCode="_-* #,##0.0\ _k_r_._-;\-* #,##0.0\ _k_r_._-;_-* &quot;-&quot;?\ _k_r_._-;_-@_-"/>
    <numFmt numFmtId="166" formatCode="0.0"/>
    <numFmt numFmtId="167" formatCode="_-* #,##0.0_-;\-* #,##0.0_-;_-* &quot;-&quot;??_-;_-@_-"/>
    <numFmt numFmtId="168" formatCode="#,##0.0_ ;\-#,##0.0\ "/>
    <numFmt numFmtId="169" formatCode="_-* #,##0\ _k_r_._-;\-* #,##0\ _k_r_._-;_-* &quot;-&quot;\ _k_r_._-;_-@_-"/>
    <numFmt numFmtId="170" formatCode="#,##0_ ;\-#,##0\ "/>
    <numFmt numFmtId="171" formatCode="0.0%"/>
  </numFmts>
  <fonts count="13" x14ac:knownFonts="1">
    <font>
      <sz val="12"/>
      <color theme="1"/>
      <name val="Calibri"/>
      <family val="2"/>
      <scheme val="minor"/>
    </font>
    <font>
      <b/>
      <sz val="28"/>
      <color theme="1" tint="0.249977111117893"/>
      <name val="Arial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167" fontId="5" fillId="0" borderId="0" xfId="1" applyNumberFormat="1" applyFont="1"/>
    <xf numFmtId="167" fontId="8" fillId="0" borderId="0" xfId="1" applyNumberFormat="1" applyFont="1"/>
    <xf numFmtId="0" fontId="8" fillId="0" borderId="0" xfId="0" applyFont="1"/>
    <xf numFmtId="164" fontId="5" fillId="0" borderId="0" xfId="0" applyNumberFormat="1" applyFont="1"/>
    <xf numFmtId="165" fontId="5" fillId="0" borderId="0" xfId="0" applyNumberFormat="1" applyFont="1"/>
    <xf numFmtId="0" fontId="2" fillId="0" borderId="0" xfId="0" applyFont="1"/>
    <xf numFmtId="167" fontId="10" fillId="0" borderId="0" xfId="1" applyNumberFormat="1" applyFont="1"/>
    <xf numFmtId="167" fontId="9" fillId="0" borderId="0" xfId="1" applyNumberFormat="1" applyFont="1"/>
    <xf numFmtId="0" fontId="9" fillId="0" borderId="0" xfId="0" applyFont="1"/>
    <xf numFmtId="0" fontId="11" fillId="0" borderId="0" xfId="0" applyFont="1"/>
    <xf numFmtId="166" fontId="8" fillId="0" borderId="0" xfId="0" applyNumberFormat="1" applyFont="1"/>
    <xf numFmtId="0" fontId="10" fillId="0" borderId="0" xfId="0" applyFont="1"/>
    <xf numFmtId="171" fontId="5" fillId="0" borderId="0" xfId="2" applyNumberFormat="1" applyFont="1"/>
    <xf numFmtId="49" fontId="1" fillId="2" borderId="0" xfId="0" applyNumberFormat="1" applyFont="1" applyFill="1"/>
    <xf numFmtId="49" fontId="1" fillId="2" borderId="1" xfId="0" applyNumberFormat="1" applyFont="1" applyFill="1" applyBorder="1"/>
    <xf numFmtId="0" fontId="5" fillId="2" borderId="0" xfId="0" applyFont="1" applyFill="1"/>
    <xf numFmtId="0" fontId="4" fillId="2" borderId="0" xfId="0" applyFont="1" applyFill="1" applyAlignment="1">
      <alignment horizontal="left" wrapText="1"/>
    </xf>
    <xf numFmtId="0" fontId="5" fillId="2" borderId="1" xfId="0" applyFont="1" applyFill="1" applyBorder="1"/>
    <xf numFmtId="0" fontId="4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/>
    <xf numFmtId="0" fontId="7" fillId="2" borderId="0" xfId="0" applyFont="1" applyFill="1"/>
    <xf numFmtId="167" fontId="7" fillId="2" borderId="0" xfId="1" applyNumberFormat="1" applyFont="1" applyFill="1"/>
    <xf numFmtId="167" fontId="5" fillId="2" borderId="0" xfId="1" applyNumberFormat="1" applyFont="1" applyFill="1"/>
    <xf numFmtId="167" fontId="4" fillId="2" borderId="0" xfId="1" applyNumberFormat="1" applyFont="1" applyFill="1"/>
    <xf numFmtId="0" fontId="8" fillId="2" borderId="0" xfId="0" applyFont="1" applyFill="1"/>
    <xf numFmtId="168" fontId="9" fillId="2" borderId="0" xfId="1" applyNumberFormat="1" applyFont="1" applyFill="1" applyAlignment="1">
      <alignment horizontal="right"/>
    </xf>
    <xf numFmtId="168" fontId="8" fillId="2" borderId="0" xfId="1" applyNumberFormat="1" applyFont="1" applyFill="1" applyAlignment="1">
      <alignment horizontal="right"/>
    </xf>
    <xf numFmtId="168" fontId="7" fillId="2" borderId="0" xfId="1" applyNumberFormat="1" applyFont="1" applyFill="1"/>
    <xf numFmtId="168" fontId="8" fillId="2" borderId="0" xfId="1" applyNumberFormat="1" applyFont="1" applyFill="1"/>
    <xf numFmtId="0" fontId="8" fillId="2" borderId="0" xfId="0" applyFont="1" applyFill="1" applyAlignment="1">
      <alignment wrapText="1"/>
    </xf>
    <xf numFmtId="169" fontId="9" fillId="2" borderId="0" xfId="1" quotePrefix="1" applyNumberFormat="1" applyFont="1" applyFill="1" applyAlignment="1">
      <alignment horizontal="right"/>
    </xf>
    <xf numFmtId="168" fontId="8" fillId="2" borderId="0" xfId="1" quotePrefix="1" applyNumberFormat="1" applyFont="1" applyFill="1" applyAlignment="1">
      <alignment horizontal="right"/>
    </xf>
    <xf numFmtId="168" fontId="6" fillId="2" borderId="0" xfId="1" applyNumberFormat="1" applyFont="1" applyFill="1"/>
    <xf numFmtId="168" fontId="4" fillId="2" borderId="0" xfId="1" applyNumberFormat="1" applyFont="1" applyFill="1"/>
    <xf numFmtId="0" fontId="9" fillId="2" borderId="0" xfId="0" applyFont="1" applyFill="1"/>
    <xf numFmtId="168" fontId="9" fillId="2" borderId="0" xfId="1" applyNumberFormat="1" applyFont="1" applyFill="1"/>
    <xf numFmtId="168" fontId="5" fillId="2" borderId="0" xfId="0" applyNumberFormat="1" applyFont="1" applyFill="1"/>
    <xf numFmtId="168" fontId="10" fillId="2" borderId="0" xfId="0" applyNumberFormat="1" applyFont="1" applyFill="1"/>
    <xf numFmtId="170" fontId="9" fillId="2" borderId="0" xfId="1" applyNumberFormat="1" applyFont="1" applyFill="1"/>
    <xf numFmtId="164" fontId="10" fillId="2" borderId="0" xfId="0" applyNumberFormat="1" applyFont="1" applyFill="1"/>
    <xf numFmtId="0" fontId="12" fillId="2" borderId="0" xfId="0" applyFont="1" applyFill="1"/>
    <xf numFmtId="0" fontId="10" fillId="2" borderId="0" xfId="0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Finance\Eksterne%20regnskaber\2023_24\Kladde%20taldel%20&#197;rsrapport_EXCEL_%20202324.xlsx" TargetMode="External"/><Relationship Id="rId1" Type="http://schemas.openxmlformats.org/officeDocument/2006/relationships/externalLinkPath" Target="/Finance/Eksterne%20regnskaber/2023_24/Kladde%20taldel%20&#197;rsrapport_EXCEL_%20202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ved- og nøgletal OPH"/>
      <sheetName val="Hoved- og nøgletal"/>
      <sheetName val="CSR Key Figures "/>
      <sheetName val="Resultatopgørelse"/>
      <sheetName val="Totalindkomstopgørelse"/>
      <sheetName val="Balance"/>
      <sheetName val="Egenkapitalopgørelse"/>
      <sheetName val="Pengestrømsopgørelse"/>
      <sheetName val="Note 1 "/>
      <sheetName val="Note 2(gl)"/>
      <sheetName val="Note 2"/>
      <sheetName val="Note 3"/>
      <sheetName val="Note 4-7"/>
      <sheetName val="Note 8"/>
      <sheetName val="Note 9"/>
      <sheetName val="Note 10-11"/>
      <sheetName val="Note 12"/>
      <sheetName val="Note 13"/>
      <sheetName val="Note 14"/>
      <sheetName val="Note 15"/>
      <sheetName val="Note 16"/>
      <sheetName val="Note 17"/>
      <sheetName val="Note 18"/>
      <sheetName val="Note 19"/>
      <sheetName val="Note 19 evt slet"/>
      <sheetName val="Note 20"/>
      <sheetName val="Note 21"/>
      <sheetName val="Note 25 "/>
      <sheetName val="Note 22-23"/>
      <sheetName val="Note 24 "/>
      <sheetName val="Note 24 (gl)"/>
      <sheetName val="Note 25"/>
      <sheetName val="Note 26- 27"/>
      <sheetName val="Note 28"/>
      <sheetName val="Note 29"/>
      <sheetName val="Noter 30"/>
      <sheetName val="Note 31"/>
      <sheetName val="Note 32"/>
      <sheetName val="Note 33InklCSR"/>
    </sheetNames>
    <sheetDataSet>
      <sheetData sheetId="0"/>
      <sheetData sheetId="1"/>
      <sheetData sheetId="2"/>
      <sheetData sheetId="3">
        <row r="6">
          <cell r="D6">
            <v>245440</v>
          </cell>
          <cell r="E6">
            <v>245015</v>
          </cell>
        </row>
        <row r="8">
          <cell r="D8">
            <v>149301</v>
          </cell>
          <cell r="E8">
            <v>127484</v>
          </cell>
        </row>
        <row r="14">
          <cell r="D14">
            <v>44881</v>
          </cell>
          <cell r="E14">
            <v>27313</v>
          </cell>
        </row>
        <row r="16">
          <cell r="D16">
            <v>-15630</v>
          </cell>
          <cell r="E16">
            <v>-17350</v>
          </cell>
        </row>
        <row r="17">
          <cell r="D17">
            <v>29251</v>
          </cell>
          <cell r="E17">
            <v>9963</v>
          </cell>
        </row>
        <row r="19">
          <cell r="D19">
            <v>0</v>
          </cell>
          <cell r="E19">
            <v>17912</v>
          </cell>
        </row>
        <row r="22">
          <cell r="D22">
            <v>57</v>
          </cell>
          <cell r="E22">
            <v>854</v>
          </cell>
        </row>
        <row r="23">
          <cell r="D23">
            <v>-2089.9133424899751</v>
          </cell>
          <cell r="E23">
            <v>-4177</v>
          </cell>
        </row>
        <row r="24">
          <cell r="D24">
            <v>27218.086657510026</v>
          </cell>
          <cell r="E24">
            <v>24552</v>
          </cell>
        </row>
        <row r="28">
          <cell r="D28">
            <v>20998.086657510026</v>
          </cell>
          <cell r="E28">
            <v>20205</v>
          </cell>
        </row>
        <row r="32">
          <cell r="D32">
            <v>-9629.9133424899737</v>
          </cell>
          <cell r="E32">
            <v>-4609</v>
          </cell>
        </row>
      </sheetData>
      <sheetData sheetId="4"/>
      <sheetData sheetId="5">
        <row r="11">
          <cell r="L11">
            <v>197333.08665751002</v>
          </cell>
          <cell r="M11">
            <v>209615</v>
          </cell>
        </row>
        <row r="13">
          <cell r="L13">
            <v>6462</v>
          </cell>
          <cell r="M13">
            <v>8057</v>
          </cell>
        </row>
        <row r="22">
          <cell r="L22">
            <v>106</v>
          </cell>
          <cell r="M22">
            <v>590</v>
          </cell>
        </row>
        <row r="23">
          <cell r="D23">
            <v>3310</v>
          </cell>
          <cell r="E23">
            <v>13640</v>
          </cell>
          <cell r="L23">
            <v>1339</v>
          </cell>
          <cell r="M23">
            <v>2829</v>
          </cell>
        </row>
        <row r="24">
          <cell r="L24">
            <v>4662</v>
          </cell>
          <cell r="M24">
            <v>23690</v>
          </cell>
        </row>
        <row r="25">
          <cell r="L25">
            <v>7500</v>
          </cell>
          <cell r="M25">
            <v>4479</v>
          </cell>
        </row>
        <row r="26">
          <cell r="L26">
            <v>10867</v>
          </cell>
          <cell r="M26">
            <v>15867</v>
          </cell>
        </row>
        <row r="28">
          <cell r="D28">
            <v>33689</v>
          </cell>
          <cell r="E28">
            <v>98007.008000000002</v>
          </cell>
        </row>
        <row r="30">
          <cell r="D30">
            <v>56919</v>
          </cell>
          <cell r="E30">
            <v>83585</v>
          </cell>
        </row>
        <row r="32">
          <cell r="D32">
            <v>380</v>
          </cell>
          <cell r="E32">
            <v>1140</v>
          </cell>
        </row>
        <row r="33">
          <cell r="D33">
            <v>2077</v>
          </cell>
          <cell r="E33">
            <v>1457</v>
          </cell>
        </row>
        <row r="34">
          <cell r="D34">
            <v>832</v>
          </cell>
          <cell r="E34">
            <v>1032</v>
          </cell>
        </row>
        <row r="37">
          <cell r="D37">
            <v>17904</v>
          </cell>
          <cell r="E37">
            <v>33235</v>
          </cell>
        </row>
        <row r="43">
          <cell r="D43">
            <v>276470</v>
          </cell>
          <cell r="E43">
            <v>368052.00800000003</v>
          </cell>
        </row>
      </sheetData>
      <sheetData sheetId="6"/>
      <sheetData sheetId="7">
        <row r="19">
          <cell r="D19">
            <v>56179.094657510032</v>
          </cell>
          <cell r="E19">
            <v>17779</v>
          </cell>
        </row>
        <row r="23">
          <cell r="D23">
            <v>-8423</v>
          </cell>
          <cell r="E23">
            <v>-21196</v>
          </cell>
        </row>
        <row r="24">
          <cell r="D24">
            <v>1263</v>
          </cell>
          <cell r="E24">
            <v>27439</v>
          </cell>
        </row>
        <row r="26">
          <cell r="D26">
            <v>-7410</v>
          </cell>
          <cell r="E26">
            <v>5494</v>
          </cell>
        </row>
        <row r="33">
          <cell r="D33">
            <v>-60556</v>
          </cell>
          <cell r="E33">
            <v>-1893</v>
          </cell>
        </row>
        <row r="35">
          <cell r="D35">
            <v>-11786.905342489968</v>
          </cell>
          <cell r="E35">
            <v>21380</v>
          </cell>
        </row>
      </sheetData>
      <sheetData sheetId="8"/>
      <sheetData sheetId="9"/>
      <sheetData sheetId="10"/>
      <sheetData sheetId="11"/>
      <sheetData sheetId="12"/>
      <sheetData sheetId="13">
        <row r="29">
          <cell r="C29">
            <v>182</v>
          </cell>
          <cell r="D29">
            <v>193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7">
          <cell r="B7">
            <v>27775</v>
          </cell>
          <cell r="C7">
            <v>27775</v>
          </cell>
        </row>
        <row r="8">
          <cell r="B8">
            <v>1510400</v>
          </cell>
          <cell r="C8">
            <v>1510400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>
        <row r="41">
          <cell r="C41">
            <v>-30628</v>
          </cell>
          <cell r="D41">
            <v>-24814</v>
          </cell>
        </row>
      </sheetData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F601D-A5FB-475D-BC22-74114D6DE2A2}">
  <dimension ref="A1:AO65"/>
  <sheetViews>
    <sheetView tabSelected="1" topLeftCell="A25" zoomScale="85" zoomScaleNormal="85" workbookViewId="0">
      <pane xSplit="2" topLeftCell="C1" activePane="topRight" state="frozen"/>
      <selection activeCell="G33" sqref="G33"/>
      <selection pane="topRight" activeCell="J17" sqref="J17"/>
    </sheetView>
  </sheetViews>
  <sheetFormatPr defaultColWidth="11" defaultRowHeight="15" x14ac:dyDescent="0.2"/>
  <cols>
    <col min="1" max="1" width="5.375" style="1" customWidth="1"/>
    <col min="2" max="2" width="59.25" style="1" customWidth="1"/>
    <col min="3" max="7" width="11" style="1"/>
    <col min="8" max="8" width="12.625" style="1" customWidth="1"/>
    <col min="9" max="25" width="11" style="1"/>
    <col min="26" max="26" width="49.5" style="1" bestFit="1" customWidth="1"/>
    <col min="27" max="27" width="5.875" style="1" bestFit="1" customWidth="1"/>
    <col min="28" max="34" width="11" style="1"/>
    <col min="35" max="35" width="38.75" style="1" bestFit="1" customWidth="1"/>
    <col min="36" max="16384" width="11" style="1"/>
  </cols>
  <sheetData>
    <row r="1" spans="1:35" ht="35.25" customHeight="1" x14ac:dyDescent="0.5">
      <c r="A1" s="21"/>
      <c r="B1" s="18" t="s">
        <v>33</v>
      </c>
      <c r="C1" s="20"/>
      <c r="D1" s="20"/>
      <c r="E1" s="20"/>
      <c r="F1" s="20"/>
      <c r="G1" s="20"/>
      <c r="H1" s="20"/>
    </row>
    <row r="2" spans="1:35" ht="15" customHeight="1" x14ac:dyDescent="0.5">
      <c r="A2" s="20"/>
      <c r="B2" s="19"/>
      <c r="C2" s="22"/>
      <c r="D2" s="22"/>
      <c r="E2" s="22"/>
      <c r="F2" s="22"/>
      <c r="G2" s="22"/>
      <c r="H2" s="22"/>
    </row>
    <row r="3" spans="1:35" x14ac:dyDescent="0.2">
      <c r="A3" s="20"/>
      <c r="B3" s="23"/>
      <c r="C3" s="23" t="s">
        <v>1</v>
      </c>
      <c r="D3" s="24" t="s">
        <v>40</v>
      </c>
      <c r="E3" s="24" t="s">
        <v>39</v>
      </c>
      <c r="F3" s="25" t="s">
        <v>42</v>
      </c>
      <c r="G3" s="25" t="s">
        <v>43</v>
      </c>
      <c r="H3" s="25" t="s">
        <v>44</v>
      </c>
      <c r="Z3" s="2"/>
      <c r="AA3" s="2" t="s">
        <v>41</v>
      </c>
      <c r="AB3" s="3" t="s">
        <v>40</v>
      </c>
      <c r="AC3" s="3" t="s">
        <v>39</v>
      </c>
      <c r="AD3" s="3" t="s">
        <v>38</v>
      </c>
      <c r="AE3" s="3" t="s">
        <v>37</v>
      </c>
      <c r="AF3" s="3" t="s">
        <v>35</v>
      </c>
    </row>
    <row r="4" spans="1:35" x14ac:dyDescent="0.2">
      <c r="A4" s="20"/>
      <c r="B4" s="26"/>
      <c r="C4" s="26"/>
      <c r="D4" s="27"/>
      <c r="E4" s="26"/>
      <c r="F4" s="26"/>
      <c r="G4" s="26"/>
      <c r="H4" s="26"/>
      <c r="Z4" s="4"/>
      <c r="AA4" s="4"/>
      <c r="AB4" s="4"/>
      <c r="AC4" s="4"/>
      <c r="AD4" s="4"/>
      <c r="AE4" s="4"/>
      <c r="AF4" s="4"/>
    </row>
    <row r="5" spans="1:35" x14ac:dyDescent="0.2">
      <c r="A5" s="20"/>
      <c r="B5" s="26" t="s">
        <v>4</v>
      </c>
      <c r="C5" s="26"/>
      <c r="D5" s="28"/>
      <c r="E5" s="29"/>
      <c r="F5" s="29"/>
      <c r="G5" s="30"/>
      <c r="H5" s="30"/>
      <c r="AH5" s="7"/>
      <c r="AI5" s="7"/>
    </row>
    <row r="6" spans="1:35" x14ac:dyDescent="0.2">
      <c r="A6" s="20"/>
      <c r="B6" s="31" t="s">
        <v>5</v>
      </c>
      <c r="C6" s="31" t="s">
        <v>2</v>
      </c>
      <c r="D6" s="32">
        <v>236.9</v>
      </c>
      <c r="E6" s="33">
        <f>308.7-106</f>
        <v>202.7</v>
      </c>
      <c r="F6" s="33">
        <v>415.4</v>
      </c>
      <c r="G6" s="33">
        <v>301.7</v>
      </c>
      <c r="H6" s="33">
        <v>242.4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AH6" s="7"/>
      <c r="AI6" s="7"/>
    </row>
    <row r="7" spans="1:35" x14ac:dyDescent="0.2">
      <c r="A7" s="20"/>
      <c r="B7" s="31" t="s">
        <v>6</v>
      </c>
      <c r="C7" s="31" t="s">
        <v>2</v>
      </c>
      <c r="D7" s="32">
        <v>53.8</v>
      </c>
      <c r="E7" s="33">
        <f>71.3-10.2</f>
        <v>61.099999999999994</v>
      </c>
      <c r="F7" s="33">
        <v>111.8</v>
      </c>
      <c r="G7" s="33">
        <v>79.7</v>
      </c>
      <c r="H7" s="33">
        <v>24.8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AH7" s="7"/>
      <c r="AI7" s="7"/>
    </row>
    <row r="8" spans="1:35" x14ac:dyDescent="0.2">
      <c r="A8" s="20"/>
      <c r="B8" s="26"/>
      <c r="C8" s="26"/>
      <c r="D8" s="34"/>
      <c r="E8" s="35"/>
      <c r="F8" s="35"/>
      <c r="G8" s="35"/>
      <c r="H8" s="35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AH8" s="7"/>
      <c r="AI8" s="7"/>
    </row>
    <row r="9" spans="1:35" x14ac:dyDescent="0.2">
      <c r="A9" s="20"/>
      <c r="B9" s="26" t="s">
        <v>7</v>
      </c>
      <c r="C9" s="26"/>
      <c r="D9" s="34"/>
      <c r="E9" s="35"/>
      <c r="F9" s="35"/>
      <c r="G9" s="35"/>
      <c r="H9" s="33"/>
      <c r="AH9" s="7"/>
      <c r="AI9" s="7"/>
    </row>
    <row r="10" spans="1:35" x14ac:dyDescent="0.2">
      <c r="A10" s="20"/>
      <c r="B10" s="31" t="s">
        <v>51</v>
      </c>
      <c r="C10" s="31" t="s">
        <v>2</v>
      </c>
      <c r="D10" s="32">
        <f>+[1]Resultatopgørelse!D6/1000</f>
        <v>245.44</v>
      </c>
      <c r="E10" s="33">
        <f>+[1]Resultatopgørelse!E6/1000</f>
        <v>245.01499999999999</v>
      </c>
      <c r="F10" s="33">
        <f>380.859</f>
        <v>380.85899999999998</v>
      </c>
      <c r="G10" s="33">
        <f>249.9</f>
        <v>249.9</v>
      </c>
      <c r="H10" s="33">
        <f>254.6</f>
        <v>254.6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35" x14ac:dyDescent="0.2">
      <c r="A11" s="20"/>
      <c r="B11" s="31" t="s">
        <v>52</v>
      </c>
      <c r="C11" s="31" t="s">
        <v>2</v>
      </c>
      <c r="D11" s="32">
        <f>+[1]Resultatopgørelse!D8/1000</f>
        <v>149.30099999999999</v>
      </c>
      <c r="E11" s="33">
        <f>+[1]Resultatopgørelse!E8/1000</f>
        <v>127.48399999999999</v>
      </c>
      <c r="F11" s="33">
        <v>181.15</v>
      </c>
      <c r="G11" s="33">
        <v>116.7</v>
      </c>
      <c r="H11" s="33">
        <v>131.1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35" ht="30" customHeight="1" x14ac:dyDescent="0.2">
      <c r="A12" s="20"/>
      <c r="B12" s="36" t="s">
        <v>60</v>
      </c>
      <c r="C12" s="31" t="s">
        <v>2</v>
      </c>
      <c r="D12" s="32">
        <f>+[1]Resultatopgørelse!D14/1000</f>
        <v>44.881</v>
      </c>
      <c r="E12" s="33">
        <f>+[1]Resultatopgørelse!E14/1000</f>
        <v>27.312999999999999</v>
      </c>
      <c r="F12" s="33">
        <v>23.416</v>
      </c>
      <c r="G12" s="33">
        <v>-12.6</v>
      </c>
      <c r="H12" s="33">
        <v>53.7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35" x14ac:dyDescent="0.2">
      <c r="A13" s="20"/>
      <c r="B13" s="31" t="s">
        <v>59</v>
      </c>
      <c r="C13" s="31" t="s">
        <v>2</v>
      </c>
      <c r="D13" s="32">
        <f>+[1]Resultatopgørelse!D17/1000</f>
        <v>29.251000000000001</v>
      </c>
      <c r="E13" s="33">
        <f>+[1]Resultatopgørelse!E17/1000</f>
        <v>9.9629999999999992</v>
      </c>
      <c r="F13" s="33">
        <v>-3.8290000000000002</v>
      </c>
      <c r="G13" s="33">
        <v>-32.9</v>
      </c>
      <c r="H13" s="33">
        <v>35.799999999999997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35" x14ac:dyDescent="0.2">
      <c r="A14" s="20"/>
      <c r="B14" s="31" t="s">
        <v>58</v>
      </c>
      <c r="C14" s="31" t="s">
        <v>2</v>
      </c>
      <c r="D14" s="37">
        <f>+[1]Resultatopgørelse!D19/1000</f>
        <v>0</v>
      </c>
      <c r="E14" s="33">
        <f>+[1]Resultatopgørelse!E19/1000</f>
        <v>17.911999999999999</v>
      </c>
      <c r="F14" s="33">
        <v>-6.782</v>
      </c>
      <c r="G14" s="38" t="s">
        <v>34</v>
      </c>
      <c r="H14" s="38" t="s">
        <v>34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AH14" s="7"/>
      <c r="AI14" s="7"/>
    </row>
    <row r="15" spans="1:35" x14ac:dyDescent="0.2">
      <c r="A15" s="20"/>
      <c r="B15" s="31" t="s">
        <v>53</v>
      </c>
      <c r="C15" s="31" t="s">
        <v>2</v>
      </c>
      <c r="D15" s="32">
        <f>+D13+D14</f>
        <v>29.251000000000001</v>
      </c>
      <c r="E15" s="33">
        <f>+E13+E14</f>
        <v>27.875</v>
      </c>
      <c r="F15" s="33">
        <v>-10.611000000000001</v>
      </c>
      <c r="G15" s="33">
        <f>+G13</f>
        <v>-32.9</v>
      </c>
      <c r="H15" s="33">
        <f>+H13</f>
        <v>35.799999999999997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AH15" s="7"/>
      <c r="AI15" s="7"/>
    </row>
    <row r="16" spans="1:35" x14ac:dyDescent="0.2">
      <c r="A16" s="20"/>
      <c r="B16" s="31" t="s">
        <v>62</v>
      </c>
      <c r="C16" s="31" t="s">
        <v>2</v>
      </c>
      <c r="D16" s="32">
        <f>+([1]Resultatopgørelse!D22+[1]Resultatopgørelse!D23)/1000</f>
        <v>-2.0329133424899752</v>
      </c>
      <c r="E16" s="33">
        <f>+([1]Resultatopgørelse!E22+[1]Resultatopgørelse!E23)/1000</f>
        <v>-3.323</v>
      </c>
      <c r="F16" s="33">
        <v>9.2579999999999991</v>
      </c>
      <c r="G16" s="33">
        <v>3.6</v>
      </c>
      <c r="H16" s="38" t="s">
        <v>34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AH16" s="7"/>
      <c r="AI16" s="7"/>
    </row>
    <row r="17" spans="1:41" x14ac:dyDescent="0.2">
      <c r="A17" s="20"/>
      <c r="B17" s="31" t="s">
        <v>61</v>
      </c>
      <c r="C17" s="31" t="s">
        <v>2</v>
      </c>
      <c r="D17" s="32">
        <f>+[1]Resultatopgørelse!D24/1000</f>
        <v>27.218086657510025</v>
      </c>
      <c r="E17" s="33">
        <f>+[1]Resultatopgørelse!E24/1000</f>
        <v>24.552</v>
      </c>
      <c r="F17" s="33">
        <f>-1.353</f>
        <v>-1.353</v>
      </c>
      <c r="G17" s="33">
        <f>-29.3</f>
        <v>-29.3</v>
      </c>
      <c r="H17" s="33">
        <f>35.8</f>
        <v>35.799999999999997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AH17" s="7"/>
      <c r="AI17" s="7"/>
    </row>
    <row r="18" spans="1:41" x14ac:dyDescent="0.2">
      <c r="A18" s="20"/>
      <c r="B18" s="31" t="s">
        <v>54</v>
      </c>
      <c r="C18" s="31" t="s">
        <v>2</v>
      </c>
      <c r="D18" s="32">
        <f>+[1]Resultatopgørelse!D28/1000</f>
        <v>20.998086657510026</v>
      </c>
      <c r="E18" s="33">
        <f>+[1]Resultatopgørelse!E28/1000</f>
        <v>20.204999999999998</v>
      </c>
      <c r="F18" s="33">
        <f>-1.8</f>
        <v>-1.8</v>
      </c>
      <c r="G18" s="33">
        <f>-20.8</f>
        <v>-20.8</v>
      </c>
      <c r="H18" s="33">
        <f>24</f>
        <v>24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AH18" s="7"/>
      <c r="AI18" s="7"/>
    </row>
    <row r="19" spans="1:41" x14ac:dyDescent="0.2">
      <c r="A19" s="20"/>
      <c r="B19" s="31" t="s">
        <v>55</v>
      </c>
      <c r="C19" s="31" t="s">
        <v>2</v>
      </c>
      <c r="D19" s="32">
        <f>+'[1]Note 28'!C41/1000</f>
        <v>-30.628</v>
      </c>
      <c r="E19" s="33">
        <f>+'[1]Note 28'!D41/1000</f>
        <v>-24.814</v>
      </c>
      <c r="F19" s="38" t="s">
        <v>34</v>
      </c>
      <c r="G19" s="38" t="s">
        <v>34</v>
      </c>
      <c r="H19" s="38" t="s">
        <v>34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AH19" s="7"/>
      <c r="AI19" s="7"/>
    </row>
    <row r="20" spans="1:41" x14ac:dyDescent="0.2">
      <c r="A20" s="20"/>
      <c r="B20" s="31" t="s">
        <v>8</v>
      </c>
      <c r="C20" s="31" t="s">
        <v>2</v>
      </c>
      <c r="D20" s="32">
        <f>+[1]Resultatopgørelse!D32/1000</f>
        <v>-9.6299133424899743</v>
      </c>
      <c r="E20" s="33">
        <f>+[1]Resultatopgørelse!E32/1000</f>
        <v>-4.609</v>
      </c>
      <c r="F20" s="33">
        <f>+F18</f>
        <v>-1.8</v>
      </c>
      <c r="G20" s="33">
        <f t="shared" ref="G20:H20" si="0">+G18</f>
        <v>-20.8</v>
      </c>
      <c r="H20" s="33">
        <f t="shared" si="0"/>
        <v>24</v>
      </c>
      <c r="AH20" s="7"/>
      <c r="AI20" s="7"/>
    </row>
    <row r="21" spans="1:41" x14ac:dyDescent="0.2">
      <c r="A21" s="20"/>
      <c r="B21" s="26"/>
      <c r="C21" s="26"/>
      <c r="D21" s="39"/>
      <c r="E21" s="40"/>
      <c r="F21" s="40"/>
      <c r="G21" s="40"/>
      <c r="H21" s="40"/>
      <c r="AH21" s="7"/>
      <c r="AI21" s="7"/>
    </row>
    <row r="22" spans="1:41" x14ac:dyDescent="0.2">
      <c r="A22" s="20"/>
      <c r="B22" s="26" t="s">
        <v>9</v>
      </c>
      <c r="C22" s="26"/>
      <c r="D22" s="40"/>
      <c r="E22" s="40"/>
      <c r="F22" s="40"/>
      <c r="G22" s="40"/>
      <c r="H22" s="40"/>
      <c r="AH22" s="7"/>
      <c r="AI22" s="7"/>
    </row>
    <row r="23" spans="1:41" x14ac:dyDescent="0.2">
      <c r="A23" s="20"/>
      <c r="B23" s="41" t="s">
        <v>63</v>
      </c>
      <c r="C23" s="31" t="s">
        <v>2</v>
      </c>
      <c r="D23" s="35">
        <f>+([1]Balance!D37)/1000</f>
        <v>17.904</v>
      </c>
      <c r="E23" s="42">
        <f>+([1]Balance!E37)/1000</f>
        <v>33.234999999999999</v>
      </c>
      <c r="F23" s="35">
        <v>11.884</v>
      </c>
      <c r="G23" s="35">
        <v>45.7</v>
      </c>
      <c r="H23" s="35">
        <v>83.4</v>
      </c>
      <c r="AH23" s="7"/>
      <c r="AI23" s="7"/>
    </row>
    <row r="24" spans="1:41" x14ac:dyDescent="0.2">
      <c r="A24" s="20"/>
      <c r="B24" s="31" t="s">
        <v>10</v>
      </c>
      <c r="C24" s="31" t="s">
        <v>2</v>
      </c>
      <c r="D24" s="35">
        <f>+[1]Balance!D43/1000</f>
        <v>276.47000000000003</v>
      </c>
      <c r="E24" s="42">
        <f>+[1]Balance!E43/1000</f>
        <v>368.05200800000006</v>
      </c>
      <c r="F24" s="35">
        <v>373.101</v>
      </c>
      <c r="G24" s="35">
        <v>279.8</v>
      </c>
      <c r="H24" s="35">
        <v>284.5</v>
      </c>
      <c r="AH24" s="14" t="s">
        <v>48</v>
      </c>
      <c r="AI24" s="7"/>
    </row>
    <row r="25" spans="1:41" x14ac:dyDescent="0.2">
      <c r="A25" s="20"/>
      <c r="B25" s="31" t="s">
        <v>11</v>
      </c>
      <c r="C25" s="31" t="s">
        <v>2</v>
      </c>
      <c r="D25" s="35">
        <f>+([1]Balance!D28+[1]Balance!D30+[1]Balance!D33+[1]Balance!D34-[1]Balance!L22-[1]Balance!L23-[1]Balance!L24-[1]Balance!L26)/1000</f>
        <v>76.543000000000006</v>
      </c>
      <c r="E25" s="42">
        <f>+([1]Balance!E28+[1]Balance!E30+[1]Balance!E33+[1]Balance!E34-[1]Balance!M22-[1]Balance!M23-[1]Balance!M24-[1]Balance!M26)/1000</f>
        <v>141.105008</v>
      </c>
      <c r="F25" s="35">
        <v>155.916</v>
      </c>
      <c r="G25" s="35">
        <v>100.2</v>
      </c>
      <c r="H25" s="35">
        <v>73.7</v>
      </c>
      <c r="AH25" s="14" t="s">
        <v>48</v>
      </c>
      <c r="AI25" s="7"/>
    </row>
    <row r="26" spans="1:41" x14ac:dyDescent="0.2">
      <c r="A26" s="20"/>
      <c r="B26" s="31" t="s">
        <v>12</v>
      </c>
      <c r="C26" s="31" t="s">
        <v>2</v>
      </c>
      <c r="D26" s="35">
        <f>+G26</f>
        <v>35.799999999999997</v>
      </c>
      <c r="E26" s="42">
        <f>+H26</f>
        <v>35.799999999999997</v>
      </c>
      <c r="F26" s="35">
        <v>35.799999999999997</v>
      </c>
      <c r="G26" s="35">
        <v>35.799999999999997</v>
      </c>
      <c r="H26" s="35">
        <v>35.799999999999997</v>
      </c>
      <c r="AH26" s="7"/>
      <c r="AI26" s="7"/>
    </row>
    <row r="27" spans="1:41" x14ac:dyDescent="0.2">
      <c r="A27" s="20"/>
      <c r="B27" s="31" t="s">
        <v>13</v>
      </c>
      <c r="C27" s="31" t="s">
        <v>2</v>
      </c>
      <c r="D27" s="35">
        <f>+([1]Balance!L11+[1]Balance!L13+[1]Balance!L25-[1]Balance!D23-[1]Balance!D32-[1]Balance!D37)/1000</f>
        <v>189.70108665751002</v>
      </c>
      <c r="E27" s="42">
        <f>+([1]Balance!M11+[1]Balance!M13+[1]Balance!M25-[1]Balance!E23-[1]Balance!E32-[1]Balance!E37)/1000</f>
        <v>174.136</v>
      </c>
      <c r="F27" s="35">
        <v>206.48599999999999</v>
      </c>
      <c r="G27" s="35">
        <v>167.5</v>
      </c>
      <c r="H27" s="35">
        <v>159.5</v>
      </c>
      <c r="AH27" s="7"/>
      <c r="AI27" s="7" t="s">
        <v>49</v>
      </c>
      <c r="AJ27" s="7" t="s">
        <v>46</v>
      </c>
      <c r="AK27" s="15">
        <f>G20/((('[1]Note 20'!B7*10)+'[1]Note 20'!B8)/1000000)</f>
        <v>-11.632133769538351</v>
      </c>
      <c r="AL27" s="15">
        <f>H20/((('[1]Note 20'!C7*10)+'[1]Note 20'!C8)/1000000)+0.1</f>
        <v>13.521692811005789</v>
      </c>
      <c r="AM27" s="6">
        <v>-8.1999999999999993</v>
      </c>
      <c r="AN27" s="6">
        <v>8.1</v>
      </c>
      <c r="AO27" s="7">
        <v>11.3</v>
      </c>
    </row>
    <row r="28" spans="1:41" x14ac:dyDescent="0.2">
      <c r="A28" s="20"/>
      <c r="B28" s="31" t="s">
        <v>14</v>
      </c>
      <c r="C28" s="31" t="s">
        <v>2</v>
      </c>
      <c r="D28" s="35">
        <f>+[1]Balance!L11/1000</f>
        <v>197.33308665751002</v>
      </c>
      <c r="E28" s="42">
        <f>+[1]Balance!M11/1000</f>
        <v>209.61500000000001</v>
      </c>
      <c r="F28" s="35">
        <v>218.839</v>
      </c>
      <c r="G28" s="35">
        <v>217.3</v>
      </c>
      <c r="H28" s="35">
        <v>238.2</v>
      </c>
      <c r="AH28" s="7"/>
      <c r="AI28" s="7" t="s">
        <v>47</v>
      </c>
      <c r="AJ28" s="7" t="s">
        <v>46</v>
      </c>
      <c r="AK28" s="5">
        <v>-12.099844188220629</v>
      </c>
      <c r="AL28" s="5">
        <f>13.0307659849163+0.1</f>
        <v>13.1307659849163</v>
      </c>
      <c r="AM28" s="5">
        <f>-19.6341463414634-0.1</f>
        <v>-19.734146341463401</v>
      </c>
      <c r="AN28" s="5">
        <f>32.2222222222222-0.1</f>
        <v>32.122222222222199</v>
      </c>
      <c r="AO28" s="5">
        <v>36.150442477876105</v>
      </c>
    </row>
    <row r="29" spans="1:41" x14ac:dyDescent="0.2">
      <c r="A29" s="20"/>
      <c r="B29" s="26"/>
      <c r="C29" s="26"/>
      <c r="D29" s="40"/>
      <c r="E29" s="39"/>
      <c r="F29" s="40"/>
      <c r="G29" s="40"/>
      <c r="H29" s="40"/>
      <c r="AH29" s="7"/>
      <c r="AI29" s="7"/>
    </row>
    <row r="30" spans="1:41" x14ac:dyDescent="0.2">
      <c r="A30" s="20"/>
      <c r="B30" s="26" t="s">
        <v>15</v>
      </c>
      <c r="C30" s="26"/>
      <c r="D30" s="40"/>
      <c r="E30" s="39"/>
      <c r="F30" s="40"/>
      <c r="G30" s="40"/>
      <c r="H30" s="40"/>
    </row>
    <row r="31" spans="1:41" x14ac:dyDescent="0.2">
      <c r="A31" s="20"/>
      <c r="B31" s="31" t="s">
        <v>64</v>
      </c>
      <c r="C31" s="31" t="s">
        <v>2</v>
      </c>
      <c r="D31" s="35">
        <f>+[1]Pengestrømsopgørelse!D19/1000</f>
        <v>56.179094657510035</v>
      </c>
      <c r="E31" s="42">
        <f>+[1]Pengestrømsopgørelse!E19/1000</f>
        <v>17.779</v>
      </c>
      <c r="F31" s="35">
        <v>-27.036999999999999</v>
      </c>
      <c r="G31" s="35">
        <v>-42.3</v>
      </c>
      <c r="H31" s="35">
        <v>65.599999999999994</v>
      </c>
      <c r="AH31" s="7"/>
      <c r="AI31" s="7"/>
    </row>
    <row r="32" spans="1:41" x14ac:dyDescent="0.2">
      <c r="A32" s="20"/>
      <c r="B32" s="31" t="s">
        <v>65</v>
      </c>
      <c r="C32" s="31" t="s">
        <v>2</v>
      </c>
      <c r="D32" s="35">
        <f>+[1]Pengestrømsopgørelse!D26/1000</f>
        <v>-7.41</v>
      </c>
      <c r="E32" s="42">
        <f>+[1]Pengestrømsopgørelse!E26/1000</f>
        <v>5.4939999999999998</v>
      </c>
      <c r="F32" s="35">
        <v>-25.221</v>
      </c>
      <c r="G32" s="35">
        <v>21.8</v>
      </c>
      <c r="H32" s="35">
        <v>-51.7</v>
      </c>
      <c r="AH32" s="7"/>
      <c r="AI32" s="7"/>
    </row>
    <row r="33" spans="1:35" x14ac:dyDescent="0.2">
      <c r="A33" s="20"/>
      <c r="B33" s="31" t="s">
        <v>16</v>
      </c>
      <c r="C33" s="31" t="s">
        <v>2</v>
      </c>
      <c r="D33" s="33" t="s">
        <v>34</v>
      </c>
      <c r="E33" s="32" t="s">
        <v>34</v>
      </c>
      <c r="F33" s="35">
        <v>42.345999999999997</v>
      </c>
      <c r="G33" s="35">
        <v>36.9</v>
      </c>
      <c r="H33" s="35">
        <v>-25.1</v>
      </c>
      <c r="AH33" s="7"/>
      <c r="AI33" s="7"/>
    </row>
    <row r="34" spans="1:35" x14ac:dyDescent="0.2">
      <c r="A34" s="20"/>
      <c r="B34" s="31" t="s">
        <v>56</v>
      </c>
      <c r="C34" s="31" t="s">
        <v>2</v>
      </c>
      <c r="D34" s="35">
        <f>+([1]Pengestrømsopgørelse!D23+[1]Pengestrømsopgørelse!D24)/1000</f>
        <v>-7.16</v>
      </c>
      <c r="E34" s="42">
        <f>+([1]Pengestrømsopgørelse!E23+[1]Pengestrømsopgørelse!E24)/1000</f>
        <v>6.2430000000000003</v>
      </c>
      <c r="F34" s="35">
        <v>-17.948</v>
      </c>
      <c r="G34" s="35">
        <v>-11.1</v>
      </c>
      <c r="H34" s="35">
        <v>-23.2</v>
      </c>
      <c r="AC34" s="16"/>
      <c r="AD34" s="16"/>
      <c r="AE34" s="16"/>
      <c r="AF34" s="16"/>
      <c r="AG34" s="13"/>
      <c r="AH34" s="7"/>
      <c r="AI34" s="7"/>
    </row>
    <row r="35" spans="1:35" x14ac:dyDescent="0.2">
      <c r="A35" s="20"/>
      <c r="B35" s="31" t="s">
        <v>17</v>
      </c>
      <c r="C35" s="31" t="s">
        <v>2</v>
      </c>
      <c r="D35" s="35">
        <f>+[1]Pengestrømsopgørelse!D33/1000</f>
        <v>-60.555999999999997</v>
      </c>
      <c r="E35" s="42">
        <f>+[1]Pengestrømsopgørelse!E33/1000</f>
        <v>-1.893</v>
      </c>
      <c r="F35" s="35">
        <v>60.524999999999999</v>
      </c>
      <c r="G35" s="35">
        <v>16.899999999999999</v>
      </c>
      <c r="H35" s="35">
        <v>-9.3000000000000007</v>
      </c>
      <c r="AG35" s="13"/>
      <c r="AH35" s="7"/>
      <c r="AI35" s="7"/>
    </row>
    <row r="36" spans="1:35" x14ac:dyDescent="0.2">
      <c r="A36" s="20"/>
      <c r="B36" s="31" t="s">
        <v>36</v>
      </c>
      <c r="C36" s="31" t="s">
        <v>2</v>
      </c>
      <c r="D36" s="35">
        <f>+[1]Resultatopgørelse!D16/1000</f>
        <v>-15.63</v>
      </c>
      <c r="E36" s="42">
        <f>+[1]Resultatopgørelse!E16/1000</f>
        <v>-17.350000000000001</v>
      </c>
      <c r="F36" s="35">
        <v>-27.245000000000001</v>
      </c>
      <c r="G36" s="35">
        <v>-20.3</v>
      </c>
      <c r="H36" s="35">
        <v>-17.899999999999999</v>
      </c>
      <c r="AG36" s="13"/>
      <c r="AH36" s="7"/>
      <c r="AI36" s="7"/>
    </row>
    <row r="37" spans="1:35" x14ac:dyDescent="0.2">
      <c r="A37" s="20"/>
      <c r="B37" s="31" t="s">
        <v>18</v>
      </c>
      <c r="C37" s="31" t="s">
        <v>2</v>
      </c>
      <c r="D37" s="35">
        <f>+[1]Pengestrømsopgørelse!D35/1000</f>
        <v>-11.786905342489968</v>
      </c>
      <c r="E37" s="42">
        <f>+[1]Pengestrømsopgørelse!E35/1000</f>
        <v>21.38</v>
      </c>
      <c r="F37" s="35">
        <v>8.2669999999999995</v>
      </c>
      <c r="G37" s="35">
        <v>-3.6</v>
      </c>
      <c r="H37" s="35">
        <v>4.5999999999999996</v>
      </c>
      <c r="AG37" s="16"/>
      <c r="AH37" s="7"/>
      <c r="AI37" s="7"/>
    </row>
    <row r="38" spans="1:35" x14ac:dyDescent="0.2">
      <c r="A38" s="20"/>
      <c r="B38" s="20"/>
      <c r="C38" s="20"/>
      <c r="D38" s="43"/>
      <c r="E38" s="44"/>
      <c r="F38" s="43"/>
      <c r="G38" s="43"/>
      <c r="H38" s="43"/>
      <c r="AB38" s="17"/>
      <c r="AC38" s="17"/>
      <c r="AG38" s="16"/>
    </row>
    <row r="39" spans="1:35" x14ac:dyDescent="0.2">
      <c r="A39" s="20"/>
      <c r="B39" s="26" t="s">
        <v>66</v>
      </c>
      <c r="C39" s="26"/>
      <c r="D39" s="30"/>
      <c r="E39" s="30"/>
      <c r="F39" s="30"/>
      <c r="G39" s="30"/>
      <c r="H39" s="30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AG39" s="16"/>
    </row>
    <row r="40" spans="1:35" x14ac:dyDescent="0.2">
      <c r="A40" s="20"/>
      <c r="B40" s="31" t="s">
        <v>45</v>
      </c>
      <c r="C40" s="31" t="s">
        <v>0</v>
      </c>
      <c r="D40" s="35">
        <f>+D6/D10*100</f>
        <v>96.520534550195563</v>
      </c>
      <c r="E40" s="35">
        <f>+E6/E10*100</f>
        <v>82.729628798236845</v>
      </c>
      <c r="F40" s="35">
        <f>+F6/F10*100</f>
        <v>109.06923559637556</v>
      </c>
      <c r="G40" s="35">
        <f>+G6/G10*100</f>
        <v>120.72829131652661</v>
      </c>
      <c r="H40" s="35">
        <v>95.208169677926151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AG40" s="16"/>
    </row>
    <row r="41" spans="1:35" x14ac:dyDescent="0.2">
      <c r="A41" s="20"/>
      <c r="B41" s="31" t="s">
        <v>67</v>
      </c>
      <c r="C41" s="31" t="s">
        <v>0</v>
      </c>
      <c r="D41" s="35">
        <f>+(D10-E10)/E10*100</f>
        <v>0.17345876783054565</v>
      </c>
      <c r="E41" s="35">
        <f>+(E10-F10)/F10*100</f>
        <v>-35.66779306777574</v>
      </c>
      <c r="F41" s="35">
        <f>+(F10-G10)/G10*100</f>
        <v>52.404561824729882</v>
      </c>
      <c r="G41" s="35">
        <f>+(G10-H10)/H10*100</f>
        <v>-1.8460329929300821</v>
      </c>
      <c r="H41" s="35">
        <v>-4.7155688622754477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AG41" s="16"/>
    </row>
    <row r="42" spans="1:35" x14ac:dyDescent="0.2">
      <c r="A42" s="20"/>
      <c r="B42" s="31" t="s">
        <v>19</v>
      </c>
      <c r="C42" s="31" t="s">
        <v>0</v>
      </c>
      <c r="D42" s="35">
        <f>+D11/D10*100</f>
        <v>60.829938070404168</v>
      </c>
      <c r="E42" s="35">
        <f>+E11/E10*100</f>
        <v>52.03110013672633</v>
      </c>
      <c r="F42" s="35">
        <f>+F11/F10*100</f>
        <v>47.56353401127452</v>
      </c>
      <c r="G42" s="35">
        <f>+G11/G10*100</f>
        <v>46.698679471788715</v>
      </c>
      <c r="H42" s="35">
        <v>51.492537313432841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35" x14ac:dyDescent="0.2">
      <c r="A43" s="20"/>
      <c r="B43" s="31" t="s">
        <v>20</v>
      </c>
      <c r="C43" s="31" t="s">
        <v>0</v>
      </c>
      <c r="D43" s="35">
        <f>+D13/D10*100</f>
        <v>11.917780312907432</v>
      </c>
      <c r="E43" s="35">
        <f>+E13/E10*100</f>
        <v>4.0662816562251294</v>
      </c>
      <c r="F43" s="35">
        <f>+F13/F10*100</f>
        <v>-1.0053589386098267</v>
      </c>
      <c r="G43" s="35">
        <f>+G13/G10*100</f>
        <v>-13.165266106442578</v>
      </c>
      <c r="H43" s="35">
        <v>14.061272584446188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35" x14ac:dyDescent="0.2">
      <c r="A44" s="20"/>
      <c r="B44" s="31" t="s">
        <v>21</v>
      </c>
      <c r="C44" s="31" t="s">
        <v>0</v>
      </c>
      <c r="D44" s="35">
        <f>+D13/((E27+D27)/2)*100</f>
        <v>16.079174483680266</v>
      </c>
      <c r="E44" s="42">
        <f>+E13/((F27+E27)/2)*100</f>
        <v>5.2351151536169747</v>
      </c>
      <c r="F44" s="35">
        <f>+F13/((G27+F27)/2)*100</f>
        <v>-2.04767023364511</v>
      </c>
      <c r="G44" s="35">
        <f>+G13/((H27+G27)/2)*100</f>
        <v>-20.122324159021407</v>
      </c>
      <c r="H44" s="35">
        <v>22.388993120700434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35" x14ac:dyDescent="0.2">
      <c r="A45" s="20"/>
      <c r="B45" s="31" t="s">
        <v>22</v>
      </c>
      <c r="C45" s="31" t="s">
        <v>0</v>
      </c>
      <c r="D45" s="35">
        <f>+D28/D24*100</f>
        <v>71.37594916537418</v>
      </c>
      <c r="E45" s="35">
        <f>+E28/E24*100</f>
        <v>56.952548945202331</v>
      </c>
      <c r="F45" s="35">
        <f>+F28/F24*100</f>
        <v>58.65409098340664</v>
      </c>
      <c r="G45" s="35">
        <f>+G28/G24*100</f>
        <v>77.662616154396005</v>
      </c>
      <c r="H45" s="35">
        <v>83.725834797891025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35" x14ac:dyDescent="0.2">
      <c r="A46" s="20"/>
      <c r="B46" s="31" t="s">
        <v>23</v>
      </c>
      <c r="C46" s="31" t="s">
        <v>0</v>
      </c>
      <c r="D46" s="35">
        <f>D20*100/((D28+E28)/2)</f>
        <v>-4.7327478163545553</v>
      </c>
      <c r="E46" s="35">
        <f>E20*100/((E28+F28)/2)</f>
        <v>-2.1514561656560565</v>
      </c>
      <c r="F46" s="35">
        <f>F20*100/((F28+G28)/2)</f>
        <v>-0.82542492187123828</v>
      </c>
      <c r="G46" s="35">
        <f>G20*100/((G28+H28)/2)</f>
        <v>-9.132821075740944</v>
      </c>
      <c r="H46" s="35">
        <v>10.568031704095112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35" x14ac:dyDescent="0.2">
      <c r="A47" s="20"/>
      <c r="B47" s="31" t="s">
        <v>57</v>
      </c>
      <c r="C47" s="31" t="s">
        <v>0</v>
      </c>
      <c r="D47" s="42">
        <f>D25/D10*100</f>
        <v>31.186033246414606</v>
      </c>
      <c r="E47" s="42">
        <f>E25/E10*100</f>
        <v>57.590354876232077</v>
      </c>
      <c r="F47" s="42">
        <f>F25/F10*100</f>
        <v>40.937984923554389</v>
      </c>
      <c r="G47" s="42">
        <f>G25/G10*100</f>
        <v>40.096038415366145</v>
      </c>
      <c r="H47" s="42">
        <v>29.047368421052635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35" x14ac:dyDescent="0.2">
      <c r="A48" s="20"/>
      <c r="B48" s="20"/>
      <c r="C48" s="20"/>
      <c r="D48" s="42"/>
      <c r="E48" s="42"/>
      <c r="F48" s="42"/>
      <c r="G48" s="42"/>
      <c r="H48" s="42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x14ac:dyDescent="0.2">
      <c r="A49" s="20"/>
      <c r="B49" s="26" t="s">
        <v>68</v>
      </c>
      <c r="C49" s="20"/>
      <c r="D49" s="42"/>
      <c r="E49" s="42"/>
      <c r="F49" s="42"/>
      <c r="G49" s="42"/>
      <c r="H49" s="42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x14ac:dyDescent="0.2">
      <c r="A50" s="20"/>
      <c r="B50" s="31" t="s">
        <v>24</v>
      </c>
      <c r="C50" s="31" t="s">
        <v>3</v>
      </c>
      <c r="D50" s="45">
        <f>+'[1]Note 8'!C29</f>
        <v>182</v>
      </c>
      <c r="E50" s="45">
        <f>+'[1]Note 8'!D29</f>
        <v>193</v>
      </c>
      <c r="F50" s="45">
        <v>279</v>
      </c>
      <c r="G50" s="45">
        <v>191</v>
      </c>
      <c r="H50" s="45">
        <v>193</v>
      </c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 spans="1:25" x14ac:dyDescent="0.2">
      <c r="A51" s="20"/>
      <c r="B51" s="31" t="s">
        <v>25</v>
      </c>
      <c r="C51" s="31" t="s">
        <v>2</v>
      </c>
      <c r="D51" s="42">
        <f>+D11/D50</f>
        <v>0.82033516483516478</v>
      </c>
      <c r="E51" s="42">
        <f>+E11/E50</f>
        <v>0.66053886010362695</v>
      </c>
      <c r="F51" s="42">
        <v>0.64928315412186399</v>
      </c>
      <c r="G51" s="42">
        <f>+G11/G50</f>
        <v>0.61099476439790579</v>
      </c>
      <c r="H51" s="42">
        <f>+H11/H50</f>
        <v>0.67927461139896372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spans="1:25" x14ac:dyDescent="0.2">
      <c r="A52" s="20"/>
      <c r="B52" s="31"/>
      <c r="C52" s="31"/>
      <c r="D52" s="42"/>
      <c r="E52" s="42"/>
      <c r="F52" s="42"/>
      <c r="G52" s="42"/>
      <c r="H52" s="4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spans="1:25" x14ac:dyDescent="0.2">
      <c r="A53" s="20"/>
      <c r="B53" s="26" t="s">
        <v>26</v>
      </c>
      <c r="C53" s="26"/>
      <c r="D53" s="39"/>
      <c r="E53" s="39"/>
      <c r="F53" s="39"/>
      <c r="G53" s="39"/>
      <c r="H53" s="4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 spans="1:25" x14ac:dyDescent="0.2">
      <c r="A54" s="20"/>
      <c r="B54" s="31" t="s">
        <v>27</v>
      </c>
      <c r="C54" s="31" t="s">
        <v>46</v>
      </c>
      <c r="D54" s="42">
        <f>D20/((('[1]Note 20'!B7*10)+'[1]Note 20'!B8)/1000000)</f>
        <v>-5.3854057783127676</v>
      </c>
      <c r="E54" s="42">
        <f>E20/((('[1]Note 20'!B7*10)+'[1]Note 20'!B8)/1000000)</f>
        <v>-2.5775242569135699</v>
      </c>
      <c r="F54" s="42">
        <v>-1.2862455610547214</v>
      </c>
      <c r="G54" s="42">
        <f>G20/((('[1]Note 20'!C7*10)+'[1]Note 20'!C8)/1000000)</f>
        <v>-11.632133769538351</v>
      </c>
      <c r="H54" s="42">
        <v>14.8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 spans="1:25" x14ac:dyDescent="0.2">
      <c r="A55" s="20"/>
      <c r="B55" s="31" t="s">
        <v>28</v>
      </c>
      <c r="C55" s="31" t="s">
        <v>46</v>
      </c>
      <c r="D55" s="42">
        <f>+D58/D54</f>
        <v>-17.825954802996577</v>
      </c>
      <c r="E55" s="42">
        <f>+E58/E54</f>
        <v>-38.71932523323931</v>
      </c>
      <c r="F55" s="42">
        <v>-108.5</v>
      </c>
      <c r="G55" s="42">
        <f>+G58/G54</f>
        <v>-13.067249999999998</v>
      </c>
      <c r="H55" s="42">
        <f>+H58/H54</f>
        <v>11.925675675675675</v>
      </c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 spans="1:25" x14ac:dyDescent="0.2">
      <c r="A56" s="20"/>
      <c r="B56" s="31" t="s">
        <v>29</v>
      </c>
      <c r="C56" s="31" t="s">
        <v>46</v>
      </c>
      <c r="D56" s="42">
        <f>+[1]Pengestrømsopgørelse!D19/((('[1]Note 20'!B7*10)+'[1]Note 20'!B8)/1000)</f>
        <v>31.417439620563169</v>
      </c>
      <c r="E56" s="42">
        <f>+[1]Pengestrømsopgørelse!E19/((('[1]Note 20'!B7*10)+'[1]Note 20'!B8)/1000)</f>
        <v>9.9426781869529961</v>
      </c>
      <c r="F56" s="42">
        <v>-15.120096188798477</v>
      </c>
      <c r="G56" s="42">
        <v>-23.7</v>
      </c>
      <c r="H56" s="42">
        <v>36.700000000000003</v>
      </c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</row>
    <row r="57" spans="1:25" x14ac:dyDescent="0.2">
      <c r="A57" s="20"/>
      <c r="B57" s="31" t="s">
        <v>30</v>
      </c>
      <c r="C57" s="31" t="s">
        <v>46</v>
      </c>
      <c r="D57" s="42">
        <f>D28/((('[1]Note 20'!B7*10)+'[1]Note 20'!B8)/1000000)</f>
        <v>110.3560029401952</v>
      </c>
      <c r="E57" s="42">
        <f>E28/((('[1]Note 20'!B7*10)+'[1]Note 20'!B8)/1000000)</f>
        <v>117.22450577412411</v>
      </c>
      <c r="F57" s="42">
        <v>122.38290971115399</v>
      </c>
      <c r="G57" s="42">
        <f>G28/((('[1]Note 20'!C7*10)+'[1]Note 20'!C8)/1000000)</f>
        <v>121.52224365964825</v>
      </c>
      <c r="H57" s="42">
        <v>133.19999999999999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</row>
    <row r="58" spans="1:25" x14ac:dyDescent="0.2">
      <c r="A58" s="20"/>
      <c r="B58" s="31" t="s">
        <v>31</v>
      </c>
      <c r="C58" s="31" t="s">
        <v>46</v>
      </c>
      <c r="D58" s="42">
        <v>96</v>
      </c>
      <c r="E58" s="42">
        <v>99.8</v>
      </c>
      <c r="F58" s="42">
        <v>141</v>
      </c>
      <c r="G58" s="42">
        <v>152</v>
      </c>
      <c r="H58" s="42">
        <v>176.5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</row>
    <row r="59" spans="1:25" x14ac:dyDescent="0.2">
      <c r="A59" s="20"/>
      <c r="B59" s="31" t="s">
        <v>32</v>
      </c>
      <c r="C59" s="26"/>
      <c r="D59" s="42">
        <f>+D58/D57</f>
        <v>0.86991189824104909</v>
      </c>
      <c r="E59" s="42">
        <f>+E58/E57</f>
        <v>0.8513578226749039</v>
      </c>
      <c r="F59" s="42">
        <v>1.1521216510768191</v>
      </c>
      <c r="G59" s="42">
        <f>+G58/G57</f>
        <v>1.2507998159226874</v>
      </c>
      <c r="H59" s="42">
        <f>+H58/H57</f>
        <v>1.3250750750750753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</row>
    <row r="60" spans="1:25" x14ac:dyDescent="0.2">
      <c r="A60" s="20"/>
      <c r="B60" s="20"/>
      <c r="C60" s="20"/>
      <c r="D60" s="29"/>
      <c r="E60" s="29"/>
      <c r="F60" s="29"/>
      <c r="G60" s="29"/>
      <c r="H60" s="29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</row>
    <row r="61" spans="1:25" x14ac:dyDescent="0.2">
      <c r="A61" s="20"/>
      <c r="B61" s="41" t="s">
        <v>50</v>
      </c>
      <c r="C61" s="20"/>
      <c r="D61" s="20"/>
      <c r="E61" s="46"/>
      <c r="F61" s="46"/>
      <c r="G61" s="46"/>
      <c r="H61" s="46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 spans="1:25" x14ac:dyDescent="0.2">
      <c r="A62" s="20"/>
      <c r="B62" s="47"/>
      <c r="C62" s="20"/>
      <c r="D62" s="20"/>
      <c r="E62" s="46"/>
      <c r="F62" s="46"/>
      <c r="G62" s="46"/>
      <c r="H62" s="46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x14ac:dyDescent="0.2">
      <c r="A63" s="20"/>
      <c r="B63" s="31" t="s">
        <v>70</v>
      </c>
      <c r="C63" s="20"/>
      <c r="D63" s="20"/>
      <c r="E63" s="46"/>
      <c r="F63" s="46"/>
      <c r="G63" s="46"/>
      <c r="H63" s="46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</row>
    <row r="64" spans="1:25" x14ac:dyDescent="0.2">
      <c r="A64" s="20"/>
      <c r="B64" s="20"/>
      <c r="C64" s="20"/>
      <c r="D64" s="20"/>
      <c r="E64" s="46"/>
      <c r="F64" s="46"/>
      <c r="G64" s="46"/>
      <c r="H64" s="46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</row>
    <row r="65" spans="1:25" x14ac:dyDescent="0.2">
      <c r="A65" s="20"/>
      <c r="B65" s="31" t="s">
        <v>69</v>
      </c>
      <c r="C65" s="20"/>
      <c r="D65" s="20"/>
      <c r="E65" s="48"/>
      <c r="F65" s="48"/>
      <c r="G65" s="48"/>
      <c r="H65" s="48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</row>
  </sheetData>
  <pageMargins left="0.7" right="0.7" top="0.75" bottom="0.75" header="0.3" footer="0.3"/>
  <pageSetup paperSize="9" scale="58" orientation="portrait" r:id="rId1"/>
  <colBreaks count="1" manualBreakCount="1">
    <brk id="8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Highlights and ratios</vt:lpstr>
      <vt:lpstr>'New Highlights and ratios'!Print_Area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Anette Marie Stoklund</dc:creator>
  <cp:lastModifiedBy>Anette Marie Stoklund</cp:lastModifiedBy>
  <dcterms:created xsi:type="dcterms:W3CDTF">2019-01-25T09:10:32Z</dcterms:created>
  <dcterms:modified xsi:type="dcterms:W3CDTF">2025-01-16T13:23:37Z</dcterms:modified>
</cp:coreProperties>
</file>